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0230" yWindow="105" windowWidth="10275" windowHeight="8055" tabRatio="544" activeTab="0"/>
  </bookViews>
  <sheets>
    <sheet name="Omnibus" sheetId="1" r:id="rId1"/>
    <sheet name="Lifetime Risk Data" sheetId="2" state="hidden" r:id="rId2"/>
    <sheet name="10-Year ASCVD" sheetId="3" state="hidden" r:id="rId3"/>
  </sheets>
  <definedNames/>
  <calcPr fullCalcOnLoad="1"/>
</workbook>
</file>

<file path=xl/sharedStrings.xml><?xml version="1.0" encoding="utf-8"?>
<sst xmlns="http://schemas.openxmlformats.org/spreadsheetml/2006/main" count="162" uniqueCount="105">
  <si>
    <t>Risk Factor</t>
  </si>
  <si>
    <t>Units</t>
  </si>
  <si>
    <t>Value</t>
  </si>
  <si>
    <t>Age</t>
  </si>
  <si>
    <t>years</t>
  </si>
  <si>
    <t>Total Cholesterol</t>
  </si>
  <si>
    <t>mg/dL</t>
  </si>
  <si>
    <t>HDL-Cholesterol</t>
  </si>
  <si>
    <t>Systolic Blood Pressure</t>
  </si>
  <si>
    <t>mm Hg</t>
  </si>
  <si>
    <t>Treatment for Hypertension (if SBP &gt;120)</t>
  </si>
  <si>
    <t>Y or N</t>
  </si>
  <si>
    <t>Enter a Value here</t>
  </si>
  <si>
    <t>Diabetes</t>
  </si>
  <si>
    <t>sum</t>
  </si>
  <si>
    <t>Smoker</t>
  </si>
  <si>
    <t>C4</t>
  </si>
  <si>
    <t>C5</t>
  </si>
  <si>
    <t>C6</t>
  </si>
  <si>
    <t>C7</t>
  </si>
  <si>
    <t>C8</t>
  </si>
  <si>
    <t>C9</t>
  </si>
  <si>
    <t>C10</t>
  </si>
  <si>
    <t>Gender</t>
  </si>
  <si>
    <t>M or F</t>
  </si>
  <si>
    <t>Omnibus</t>
  </si>
  <si>
    <t>The actual information entered</t>
  </si>
  <si>
    <t>Omnibus</t>
  </si>
  <si>
    <t>C3</t>
  </si>
  <si>
    <t>Female</t>
  </si>
  <si>
    <t>mg/dL</t>
  </si>
  <si>
    <t>smoking</t>
  </si>
  <si>
    <t>Male</t>
  </si>
  <si>
    <t>Cholesterol</t>
  </si>
  <si>
    <t>ALL Optimal</t>
  </si>
  <si>
    <t>Not Optimal</t>
  </si>
  <si>
    <t>&gt;=1Elevated</t>
  </si>
  <si>
    <t xml:space="preserve">1 Major </t>
  </si>
  <si>
    <t>SBP</t>
  </si>
  <si>
    <t>Diabetes</t>
  </si>
  <si>
    <t>Treated or Not</t>
  </si>
  <si>
    <t>1 Major</t>
  </si>
  <si>
    <t>Elevated</t>
  </si>
  <si>
    <t>sum of major</t>
  </si>
  <si>
    <t>Not optimal</t>
  </si>
  <si>
    <t>All Optimal</t>
  </si>
  <si>
    <t>&gt;=2 Major</t>
  </si>
  <si>
    <t>ASCVD</t>
  </si>
  <si>
    <t>10-Year ASCVD</t>
  </si>
  <si>
    <t>Lifetime Risk ASCVD</t>
  </si>
  <si>
    <t>Race</t>
  </si>
  <si>
    <t>Omnibus</t>
  </si>
  <si>
    <t>C11</t>
  </si>
  <si>
    <t>WH Woman</t>
  </si>
  <si>
    <t>AA Men</t>
  </si>
  <si>
    <t>lnage</t>
  </si>
  <si>
    <t>lntot</t>
  </si>
  <si>
    <t>lnhdl</t>
  </si>
  <si>
    <t>agetc</t>
  </si>
  <si>
    <t>agehdl</t>
  </si>
  <si>
    <t>ntlnsbp</t>
  </si>
  <si>
    <t>trlnsbp</t>
  </si>
  <si>
    <t>agentsbp</t>
  </si>
  <si>
    <t>agetsbp</t>
  </si>
  <si>
    <t>agesmoke</t>
  </si>
  <si>
    <t>agedm</t>
  </si>
  <si>
    <t>age2</t>
  </si>
  <si>
    <t>Treatment for Hypertension:yes</t>
  </si>
  <si>
    <t>Treatment for Hypertension:no</t>
  </si>
  <si>
    <t>AA Women</t>
  </si>
  <si>
    <t>WH Men</t>
  </si>
  <si>
    <t>s0_10</t>
  </si>
  <si>
    <t>mnxb</t>
  </si>
  <si>
    <t>predict</t>
  </si>
  <si>
    <t>cvd predict</t>
  </si>
  <si>
    <t>sex*race</t>
  </si>
  <si>
    <t>Women</t>
  </si>
  <si>
    <t>Men</t>
  </si>
  <si>
    <t>Lifetime risk estimation from 2006 Circulation paper no age stratification</t>
  </si>
  <si>
    <t>20-79</t>
  </si>
  <si>
    <t>130-320</t>
  </si>
  <si>
    <t>20-100</t>
  </si>
  <si>
    <t>90-200</t>
  </si>
  <si>
    <r>
      <t xml:space="preserve">10-Years ASCVD </t>
    </r>
    <r>
      <rPr>
        <b/>
        <sz val="10"/>
        <rFont val="Arial"/>
        <family val="2"/>
      </rPr>
      <t>CVD Risk Estimation From Guideline work (Sean coding)</t>
    </r>
  </si>
  <si>
    <t>Your 10-Year ASCVD Risk (%)</t>
  </si>
  <si>
    <t>Acceptable range of values</t>
  </si>
  <si>
    <t>Enter patient values in this column</t>
  </si>
  <si>
    <t>Your Lifetime ASCVD Risk* (%)</t>
  </si>
  <si>
    <t>Optimal for same age/sex/race</t>
  </si>
  <si>
    <t>Optimal values</t>
  </si>
  <si>
    <t>Optimal</t>
  </si>
  <si>
    <t>F11: note- remove blacnk space before text</t>
  </si>
  <si>
    <t>OPTIMAL ERROR MESSAGE I12</t>
  </si>
  <si>
    <t>N</t>
  </si>
  <si>
    <t>M (for males) or F (for females)</t>
  </si>
  <si>
    <t>Y (for yes) or N (for no)</t>
  </si>
  <si>
    <t>10-Year ASCVD Risk (%) for Someone Your Age with Optimal Risk Factor Levels (shown above in column E)</t>
  </si>
  <si>
    <t>Lifetime ASCVD Risk (%) for Someone at Age 50 with Optimal Risk Factor Levels (shown above in column E)</t>
  </si>
  <si>
    <t>AA (for African Americans) or WH (for whites or others)</t>
  </si>
  <si>
    <t>Sex</t>
  </si>
  <si>
    <t>AA or WH</t>
  </si>
  <si>
    <t>Treatment for High Blood Pressure</t>
  </si>
  <si>
    <t>*This is the lifetime ASCVD risk for an individual at age 50 years with your risk factor levels. In rare cases, 10-year risks may exceed lifetime risks given that the estimates come from different approaches. While 10-year risk estimates are derived from methods and data using continuous variables, the reported estimate of lifetime risk is based on assigning each person into one of 5 mutually exclusive sex-specific groups, as per Lloyd-Jones et al., Circulation 2006; 113(6):791-8.  Within each of the 5 groups, each person receives the same lifetime risk estimate.  In other words, using this approach, there are only 5 possible lifetime risk estimates reported for men and only 5 possible lifetime risk estimates reported for women.  In some cases, the average risk for the group will underestimate the individual’s true lifetime risk.  This feature of lifetime risk estimation will result in the estimated lifetime risk being less than the estimated 10-year risk.  In these cases, the 10-year risk should be the primary focus for the risk discussion and risk reduction efforts. As further data becomes available and incorporated and methods mature, lifetime risk estimates based on continuous variables will be possible.</t>
  </si>
  <si>
    <r>
      <rPr>
        <b/>
        <u val="single"/>
        <sz val="12"/>
        <color indexed="56"/>
        <rFont val="Arial"/>
        <family val="2"/>
      </rPr>
      <t>For patients and the public:</t>
    </r>
    <r>
      <rPr>
        <b/>
        <sz val="10"/>
        <color indexed="8"/>
        <rFont val="Arial"/>
        <family val="2"/>
      </rPr>
      <t xml:space="preserve"> *This is the lifetime risk of cardiovascular diseases, including stroke, for an individual at age 50 years with your risk factor levels. In rare cases, 10-year risks may exceed lifetime risks given that the estimates come from different mathematical approaches.  If this is the case, the 10-year risk should be the primary focus for your risk discussion with your provider and for your efforts to reduce your risk.</t>
    </r>
  </si>
  <si>
    <t>Abbreviations: AA = African American; ASCVD = Atherosclerotic cardiovascular disease, defined as CHD death, nonfatal myocardial infarction, or fatal or nonfatal stroke; F = Female; M = Male; N = No; WH = White; Y = Yes.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</si>
</sst>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ر.ق&quot;#,##0_);\(&quot;ر.ق&quot;#,##0\)"/>
    <numFmt numFmtId="173" formatCode="&quot;ر.ق&quot;#,##0_);[Red]\(&quot;ر.ق&quot;#,##0\)"/>
    <numFmt numFmtId="174" formatCode="&quot;ر.ق&quot;#,##0.00_);\(&quot;ر.ق&quot;#,##0.00\)"/>
    <numFmt numFmtId="175" formatCode="&quot;ر.ق&quot;#,##0.00_);[Red]\(&quot;ر.ق&quot;#,##0.00\)"/>
    <numFmt numFmtId="176" formatCode="_(&quot;ر.ق&quot;* #,##0_);_(&quot;ر.ق&quot;* \(#,##0\);_(&quot;ر.ق&quot;* &quot;-&quot;_);_(@_)"/>
    <numFmt numFmtId="177" formatCode="_(&quot;ر.ق&quot;* #,##0.00_);_(&quot;ر.ق&quot;* \(#,##0.00\);_(&quot;ر.ق&quot;* &quot;-&quot;??_);_(@_)"/>
    <numFmt numFmtId="178" formatCode="\$#,##0_);\(\$#,##0\)"/>
    <numFmt numFmtId="179" formatCode="\$#,##0_);[Red]\(\$#,##0\)"/>
    <numFmt numFmtId="180" formatCode="\$#,##0.00_);\(\$#,##0.00\)"/>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00"/>
    <numFmt numFmtId="188" formatCode="0.0000"/>
  </numFmts>
  <fonts count="49">
    <font>
      <sz val="10"/>
      <name val="Arial"/>
      <family val="2"/>
    </font>
    <font>
      <sz val="8"/>
      <name val="Arial"/>
      <family val="2"/>
    </font>
    <font>
      <b/>
      <sz val="10"/>
      <name val="Arial"/>
      <family val="2"/>
    </font>
    <font>
      <b/>
      <sz val="10"/>
      <color indexed="12"/>
      <name val="Arial"/>
      <family val="2"/>
    </font>
    <font>
      <b/>
      <sz val="10"/>
      <color indexed="10"/>
      <name val="Arial"/>
      <family val="2"/>
    </font>
    <font>
      <b/>
      <u val="single"/>
      <sz val="10"/>
      <color indexed="10"/>
      <name val="Arial"/>
      <family val="2"/>
    </font>
    <font>
      <sz val="9"/>
      <name val="宋体"/>
      <family val="0"/>
    </font>
    <font>
      <u val="single"/>
      <sz val="10"/>
      <color indexed="12"/>
      <name val="Arial"/>
      <family val="2"/>
    </font>
    <font>
      <b/>
      <sz val="10"/>
      <color indexed="8"/>
      <name val="Arial"/>
      <family val="2"/>
    </font>
    <font>
      <b/>
      <u val="single"/>
      <sz val="12"/>
      <color indexed="56"/>
      <name val="Arial"/>
      <family val="2"/>
    </font>
    <font>
      <sz val="10"/>
      <color indexed="8"/>
      <name val="Calibri"/>
      <family val="2"/>
    </font>
    <font>
      <b/>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5">
    <xf numFmtId="0" fontId="0" fillId="0" borderId="0" xfId="0" applyAlignment="1">
      <alignment/>
    </xf>
    <xf numFmtId="0" fontId="2" fillId="33" borderId="10" xfId="0" applyFont="1" applyFill="1" applyBorder="1" applyAlignment="1">
      <alignment wrapText="1"/>
    </xf>
    <xf numFmtId="0" fontId="2" fillId="33" borderId="10" xfId="0" applyFont="1" applyFill="1" applyBorder="1" applyAlignment="1">
      <alignment horizontal="center" wrapText="1"/>
    </xf>
    <xf numFmtId="0" fontId="2" fillId="0" borderId="0" xfId="0" applyFont="1" applyAlignment="1">
      <alignment/>
    </xf>
    <xf numFmtId="0" fontId="5" fillId="0" borderId="0" xfId="0" applyFont="1" applyAlignment="1">
      <alignment/>
    </xf>
    <xf numFmtId="0" fontId="0" fillId="0" borderId="0" xfId="0" applyAlignment="1">
      <alignment horizontal="center"/>
    </xf>
    <xf numFmtId="0" fontId="0" fillId="34" borderId="0" xfId="0" applyFill="1" applyAlignment="1">
      <alignment horizontal="center"/>
    </xf>
    <xf numFmtId="0" fontId="0" fillId="0" borderId="0" xfId="0" applyFill="1" applyAlignment="1">
      <alignment horizontal="center"/>
    </xf>
    <xf numFmtId="0" fontId="2" fillId="33" borderId="11" xfId="0" applyFont="1" applyFill="1" applyBorder="1" applyAlignment="1">
      <alignment wrapText="1"/>
    </xf>
    <xf numFmtId="0" fontId="0" fillId="33" borderId="10" xfId="0" applyFont="1" applyFill="1" applyBorder="1" applyAlignment="1">
      <alignment horizontal="center" wrapText="1"/>
    </xf>
    <xf numFmtId="0" fontId="2" fillId="33" borderId="12" xfId="0" applyFont="1" applyFill="1" applyBorder="1" applyAlignment="1">
      <alignment wrapText="1"/>
    </xf>
    <xf numFmtId="0" fontId="2" fillId="0" borderId="0" xfId="0" applyFont="1" applyAlignment="1">
      <alignment/>
    </xf>
    <xf numFmtId="0" fontId="2" fillId="34" borderId="10" xfId="0" applyFont="1" applyFill="1" applyBorder="1" applyAlignment="1">
      <alignment horizontal="center" wrapText="1"/>
    </xf>
    <xf numFmtId="0" fontId="0" fillId="34" borderId="0" xfId="0" applyFont="1" applyFill="1" applyAlignment="1">
      <alignment horizontal="center"/>
    </xf>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0" fillId="0" borderId="0" xfId="0" applyFill="1" applyAlignment="1">
      <alignment/>
    </xf>
    <xf numFmtId="0" fontId="4" fillId="34" borderId="0" xfId="0" applyFont="1" applyFill="1" applyAlignment="1">
      <alignment/>
    </xf>
    <xf numFmtId="0" fontId="4"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xf>
    <xf numFmtId="0" fontId="2" fillId="33" borderId="0" xfId="0" applyFont="1" applyFill="1" applyBorder="1" applyAlignment="1">
      <alignment wrapText="1"/>
    </xf>
    <xf numFmtId="0" fontId="2" fillId="35" borderId="0" xfId="0" applyFont="1" applyFill="1" applyAlignment="1">
      <alignment/>
    </xf>
    <xf numFmtId="0" fontId="0" fillId="35" borderId="0" xfId="0" applyFill="1" applyAlignment="1">
      <alignment/>
    </xf>
    <xf numFmtId="0" fontId="2" fillId="35" borderId="0" xfId="0" applyFont="1" applyFill="1" applyAlignment="1">
      <alignment/>
    </xf>
    <xf numFmtId="0" fontId="2" fillId="34" borderId="0" xfId="0" applyFont="1" applyFill="1" applyBorder="1" applyAlignment="1">
      <alignment horizontal="center" wrapText="1"/>
    </xf>
    <xf numFmtId="0" fontId="0" fillId="35" borderId="0" xfId="0" applyFill="1" applyAlignment="1">
      <alignment horizontal="center"/>
    </xf>
    <xf numFmtId="0" fontId="0" fillId="33" borderId="10" xfId="0" applyFont="1" applyFill="1" applyBorder="1" applyAlignment="1">
      <alignment horizontal="center" wrapText="1"/>
    </xf>
    <xf numFmtId="49" fontId="0" fillId="0" borderId="0" xfId="0" applyNumberFormat="1" applyAlignment="1">
      <alignment wrapText="1"/>
    </xf>
    <xf numFmtId="49" fontId="0" fillId="0" borderId="0" xfId="0" applyNumberFormat="1" applyAlignment="1">
      <alignment horizontal="center" wrapText="1"/>
    </xf>
    <xf numFmtId="186" fontId="0" fillId="0" borderId="0" xfId="0" applyNumberFormat="1" applyAlignment="1">
      <alignment/>
    </xf>
    <xf numFmtId="186" fontId="0" fillId="0" borderId="0" xfId="0" applyNumberFormat="1" applyAlignment="1">
      <alignment horizontal="center"/>
    </xf>
    <xf numFmtId="49" fontId="0" fillId="0" borderId="0" xfId="0" applyNumberFormat="1" applyFill="1" applyAlignment="1">
      <alignment horizontal="left" wrapText="1"/>
    </xf>
    <xf numFmtId="186" fontId="0" fillId="0" borderId="0" xfId="0" applyNumberFormat="1" applyFill="1" applyAlignment="1">
      <alignment horizontal="center" wrapText="1"/>
    </xf>
    <xf numFmtId="49" fontId="0" fillId="0" borderId="0" xfId="0" applyNumberFormat="1" applyFill="1" applyAlignment="1">
      <alignment horizontal="center" wrapText="1"/>
    </xf>
    <xf numFmtId="49" fontId="0" fillId="0" borderId="0" xfId="0" applyNumberFormat="1" applyFill="1" applyAlignment="1">
      <alignment wrapText="1"/>
    </xf>
    <xf numFmtId="49" fontId="0" fillId="0" borderId="0" xfId="0" applyNumberFormat="1" applyAlignment="1">
      <alignment horizontal="center" vertical="center" wrapText="1"/>
    </xf>
    <xf numFmtId="186" fontId="2" fillId="0" borderId="0" xfId="0" applyNumberFormat="1" applyFont="1" applyFill="1" applyAlignment="1">
      <alignment horizontal="center" vertical="center" wrapText="1"/>
    </xf>
    <xf numFmtId="49" fontId="0" fillId="0" borderId="0" xfId="0" applyNumberFormat="1" applyFill="1" applyAlignment="1">
      <alignment horizontal="left" vertical="center" wrapText="1"/>
    </xf>
    <xf numFmtId="49" fontId="2" fillId="0" borderId="0" xfId="0" applyNumberFormat="1" applyFont="1" applyFill="1" applyBorder="1" applyAlignment="1">
      <alignment horizontal="center" vertical="center" wrapText="1"/>
    </xf>
    <xf numFmtId="0" fontId="0" fillId="0" borderId="10" xfId="0" applyBorder="1" applyAlignment="1">
      <alignment/>
    </xf>
    <xf numFmtId="2" fontId="0" fillId="35" borderId="0" xfId="0" applyNumberFormat="1" applyFill="1" applyAlignment="1">
      <alignment/>
    </xf>
    <xf numFmtId="0" fontId="0" fillId="0" borderId="0" xfId="0" applyNumberFormat="1" applyAlignment="1">
      <alignment horizontal="center"/>
    </xf>
    <xf numFmtId="186" fontId="0" fillId="0" borderId="10" xfId="0" applyNumberFormat="1" applyBorder="1" applyAlignment="1">
      <alignment horizontal="center"/>
    </xf>
    <xf numFmtId="1" fontId="0" fillId="0" borderId="10" xfId="0" applyNumberFormat="1" applyBorder="1" applyAlignment="1">
      <alignment horizontal="center"/>
    </xf>
    <xf numFmtId="0" fontId="0" fillId="33" borderId="10" xfId="0" applyFont="1" applyFill="1" applyBorder="1" applyAlignment="1" applyProtection="1">
      <alignment wrapText="1"/>
      <protection/>
    </xf>
    <xf numFmtId="0" fontId="0" fillId="33" borderId="10" xfId="0" applyFont="1" applyFill="1" applyBorder="1" applyAlignment="1" applyProtection="1">
      <alignment horizontal="center" wrapText="1"/>
      <protection/>
    </xf>
    <xf numFmtId="0" fontId="2" fillId="33" borderId="10" xfId="0" applyFont="1" applyFill="1" applyBorder="1" applyAlignment="1" applyProtection="1">
      <alignment wrapText="1"/>
      <protection/>
    </xf>
    <xf numFmtId="0" fontId="2" fillId="33" borderId="10" xfId="0" applyFont="1" applyFill="1" applyBorder="1" applyAlignment="1" applyProtection="1">
      <alignment horizontal="center" wrapText="1"/>
      <protection/>
    </xf>
    <xf numFmtId="0" fontId="0" fillId="33" borderId="10" xfId="0" applyFont="1" applyFill="1" applyBorder="1" applyAlignment="1" applyProtection="1">
      <alignment horizontal="center" wrapText="1"/>
      <protection/>
    </xf>
    <xf numFmtId="0" fontId="0" fillId="0" borderId="10" xfId="0" applyBorder="1" applyAlignment="1" applyProtection="1">
      <alignment horizontal="center"/>
      <protection/>
    </xf>
    <xf numFmtId="0" fontId="0" fillId="0" borderId="0" xfId="0" applyAlignment="1" applyProtection="1">
      <alignment horizontal="center" wrapText="1"/>
      <protection/>
    </xf>
    <xf numFmtId="0" fontId="0" fillId="0" borderId="0" xfId="0" applyAlignment="1" applyProtection="1">
      <alignment horizontal="center"/>
      <protection/>
    </xf>
    <xf numFmtId="49" fontId="2" fillId="35" borderId="13" xfId="0" applyNumberFormat="1" applyFont="1" applyFill="1" applyBorder="1" applyAlignment="1" applyProtection="1">
      <alignment horizontal="center" vertical="center" wrapText="1"/>
      <protection/>
    </xf>
    <xf numFmtId="186" fontId="2" fillId="36" borderId="13" xfId="0" applyNumberFormat="1" applyFont="1" applyFill="1" applyBorder="1" applyAlignment="1" applyProtection="1">
      <alignment horizontal="center" vertical="center" wrapText="1"/>
      <protection/>
    </xf>
    <xf numFmtId="49" fontId="0" fillId="35" borderId="13" xfId="0" applyNumberFormat="1" applyFill="1" applyBorder="1" applyAlignment="1" applyProtection="1">
      <alignment horizontal="left" vertical="center" wrapText="1"/>
      <protection/>
    </xf>
    <xf numFmtId="186" fontId="2" fillId="37" borderId="13" xfId="0" applyNumberFormat="1" applyFont="1" applyFill="1" applyBorder="1" applyAlignment="1" applyProtection="1">
      <alignment horizontal="center" vertical="center" wrapText="1"/>
      <protection/>
    </xf>
    <xf numFmtId="49" fontId="0" fillId="0" borderId="0" xfId="0" applyNumberFormat="1" applyFill="1" applyAlignment="1" applyProtection="1">
      <alignment horizontal="left" wrapText="1"/>
      <protection/>
    </xf>
    <xf numFmtId="186" fontId="2" fillId="0" borderId="0" xfId="0" applyNumberFormat="1" applyFont="1" applyFill="1" applyAlignment="1" applyProtection="1">
      <alignment horizontal="center" wrapText="1"/>
      <protection/>
    </xf>
    <xf numFmtId="0" fontId="47" fillId="0" borderId="0" xfId="0" applyFont="1" applyAlignment="1" applyProtection="1">
      <alignment vertical="center" wrapText="1"/>
      <protection/>
    </xf>
    <xf numFmtId="0" fontId="48" fillId="0" borderId="0" xfId="0" applyFont="1" applyAlignment="1" applyProtection="1">
      <alignment vertical="center"/>
      <protection/>
    </xf>
    <xf numFmtId="0" fontId="0" fillId="0" borderId="0" xfId="0" applyFont="1" applyAlignment="1" applyProtection="1">
      <alignment wrapText="1"/>
      <protection/>
    </xf>
    <xf numFmtId="0" fontId="0" fillId="0" borderId="0" xfId="0" applyAlignment="1" applyProtection="1">
      <alignment wrapText="1"/>
      <protection/>
    </xf>
    <xf numFmtId="0" fontId="3" fillId="33" borderId="10" xfId="0" applyFont="1" applyFill="1" applyBorder="1" applyAlignment="1" applyProtection="1">
      <alignment horizont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10-Year and Lifetime ASCVD Risks</a:t>
            </a:r>
          </a:p>
        </c:rich>
      </c:tx>
      <c:layout>
        <c:manualLayout>
          <c:xMode val="factor"/>
          <c:yMode val="factor"/>
          <c:x val="-0.09075"/>
          <c:y val="-0.01075"/>
        </c:manualLayout>
      </c:layout>
      <c:spPr>
        <a:noFill/>
        <a:ln w="3175">
          <a:noFill/>
        </a:ln>
      </c:spPr>
    </c:title>
    <c:plotArea>
      <c:layout>
        <c:manualLayout>
          <c:xMode val="edge"/>
          <c:yMode val="edge"/>
          <c:x val="0.04675"/>
          <c:y val="0.071"/>
          <c:w val="0.93775"/>
          <c:h val="0.937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c:spPr>
          </c:dPt>
          <c:dPt>
            <c:idx val="1"/>
            <c:invertIfNegative val="0"/>
            <c:spPr>
              <a:solidFill>
                <a:srgbClr val="92D050"/>
              </a:solidFill>
              <a:ln w="3175">
                <a:noFill/>
              </a:ln>
            </c:spPr>
          </c:dPt>
          <c:dPt>
            <c:idx val="3"/>
            <c:invertIfNegative val="0"/>
            <c:spPr>
              <a:solidFill>
                <a:srgbClr val="00B0F0"/>
              </a:solidFill>
              <a:ln w="3175">
                <a:noFill/>
              </a:ln>
            </c:spPr>
          </c:dPt>
          <c:dPt>
            <c:idx val="4"/>
            <c:invertIfNegative val="0"/>
            <c:spPr>
              <a:solidFill>
                <a:srgbClr val="92D050"/>
              </a:solidFill>
              <a:ln w="3175">
                <a:noFill/>
              </a:ln>
            </c:spPr>
          </c:dPt>
          <c:cat>
            <c:strRef>
              <c:f>Omnibus!$A$13:$A$17</c:f>
              <c:strCache/>
            </c:strRef>
          </c:cat>
          <c:val>
            <c:numRef>
              <c:f>Omnibus!$B$13:$B$17</c:f>
              <c:numCache/>
            </c:numRef>
          </c:val>
        </c:ser>
        <c:overlap val="-25"/>
        <c:gapWidth val="0"/>
        <c:axId val="20542469"/>
        <c:axId val="50664494"/>
      </c:barChart>
      <c:catAx>
        <c:axId val="2054246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0664494"/>
        <c:crosses val="autoZero"/>
        <c:auto val="1"/>
        <c:lblOffset val="100"/>
        <c:tickLblSkip val="1"/>
        <c:noMultiLvlLbl val="0"/>
      </c:catAx>
      <c:valAx>
        <c:axId val="50664494"/>
        <c:scaling>
          <c:orientation val="minMax"/>
          <c:min val="0"/>
        </c:scaling>
        <c:axPos val="l"/>
        <c:title>
          <c:tx>
            <c:rich>
              <a:bodyPr vert="horz" rot="-5400000" anchor="ctr"/>
              <a:lstStyle/>
              <a:p>
                <a:pPr algn="ctr">
                  <a:defRPr/>
                </a:pPr>
                <a:r>
                  <a:rPr lang="en-US" cap="none" sz="1000" b="1" i="0" u="none" baseline="0">
                    <a:solidFill>
                      <a:srgbClr val="000000"/>
                    </a:solidFill>
                  </a:rPr>
                  <a:t>Predicted Risk (%)</a:t>
                </a:r>
              </a:p>
            </c:rich>
          </c:tx>
          <c:layout>
            <c:manualLayout>
              <c:xMode val="factor"/>
              <c:yMode val="factor"/>
              <c:x val="-0.00475"/>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20542469"/>
        <c:crossesAt val="1"/>
        <c:crossBetween val="between"/>
        <c:dispUnits/>
      </c:valAx>
      <c:spPr>
        <a:no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12</xdr:row>
      <xdr:rowOff>9525</xdr:rowOff>
    </xdr:from>
    <xdr:to>
      <xdr:col>7</xdr:col>
      <xdr:colOff>571500</xdr:colOff>
      <xdr:row>18</xdr:row>
      <xdr:rowOff>1219200</xdr:rowOff>
    </xdr:to>
    <xdr:graphicFrame>
      <xdr:nvGraphicFramePr>
        <xdr:cNvPr id="1" name="Chart 8"/>
        <xdr:cNvGraphicFramePr/>
      </xdr:nvGraphicFramePr>
      <xdr:xfrm>
        <a:off x="6505575" y="2771775"/>
        <a:ext cx="6600825" cy="5448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9"/>
  <sheetViews>
    <sheetView tabSelected="1" zoomScale="80" zoomScaleNormal="80" zoomScalePageLayoutView="0" workbookViewId="0" topLeftCell="A1">
      <selection activeCell="C6" sqref="C6"/>
    </sheetView>
  </sheetViews>
  <sheetFormatPr defaultColWidth="9.140625" defaultRowHeight="12.75"/>
  <cols>
    <col min="1" max="1" width="46.00390625" style="63" bestFit="1" customWidth="1"/>
    <col min="2" max="2" width="51.140625" style="53" customWidth="1"/>
    <col min="3" max="3" width="20.28125" style="5" customWidth="1"/>
    <col min="4" max="4" width="29.421875" style="0" customWidth="1"/>
    <col min="5" max="5" width="24.28125" style="31" customWidth="1"/>
    <col min="6" max="6" width="16.8515625" style="0" customWidth="1"/>
    <col min="7" max="7" width="9.140625" style="0" hidden="1" customWidth="1"/>
  </cols>
  <sheetData>
    <row r="1" spans="1:5" ht="26.25" thickBot="1">
      <c r="A1" s="46"/>
      <c r="B1" s="47"/>
      <c r="C1" s="2" t="s">
        <v>86</v>
      </c>
      <c r="D1" s="41"/>
      <c r="E1" s="44"/>
    </row>
    <row r="2" spans="1:5" ht="18" customHeight="1" thickBot="1">
      <c r="A2" s="48" t="s">
        <v>0</v>
      </c>
      <c r="B2" s="49" t="s">
        <v>1</v>
      </c>
      <c r="C2" s="2" t="s">
        <v>2</v>
      </c>
      <c r="D2" s="28" t="s">
        <v>85</v>
      </c>
      <c r="E2" s="44" t="s">
        <v>89</v>
      </c>
    </row>
    <row r="3" spans="1:5" ht="18" customHeight="1" thickBot="1">
      <c r="A3" s="48" t="s">
        <v>99</v>
      </c>
      <c r="B3" s="50" t="s">
        <v>94</v>
      </c>
      <c r="C3" s="64"/>
      <c r="D3" s="9" t="s">
        <v>24</v>
      </c>
      <c r="E3" s="44"/>
    </row>
    <row r="4" spans="1:5" ht="18" customHeight="1" thickBot="1">
      <c r="A4" s="48" t="s">
        <v>3</v>
      </c>
      <c r="B4" s="47" t="s">
        <v>4</v>
      </c>
      <c r="C4" s="64"/>
      <c r="D4" s="9" t="s">
        <v>79</v>
      </c>
      <c r="E4" s="44"/>
    </row>
    <row r="5" spans="1:5" ht="18" customHeight="1" thickBot="1">
      <c r="A5" s="48" t="s">
        <v>50</v>
      </c>
      <c r="B5" s="51" t="s">
        <v>98</v>
      </c>
      <c r="C5" s="64"/>
      <c r="D5" s="28" t="s">
        <v>100</v>
      </c>
      <c r="E5" s="44"/>
    </row>
    <row r="6" spans="1:5" ht="18" customHeight="1" thickBot="1">
      <c r="A6" s="48" t="s">
        <v>5</v>
      </c>
      <c r="B6" s="47" t="s">
        <v>6</v>
      </c>
      <c r="C6" s="64"/>
      <c r="D6" s="9" t="s">
        <v>80</v>
      </c>
      <c r="E6" s="45">
        <v>170</v>
      </c>
    </row>
    <row r="7" spans="1:5" ht="18" customHeight="1" thickBot="1">
      <c r="A7" s="48" t="s">
        <v>7</v>
      </c>
      <c r="B7" s="47" t="s">
        <v>30</v>
      </c>
      <c r="C7" s="64"/>
      <c r="D7" s="9" t="s">
        <v>81</v>
      </c>
      <c r="E7" s="45">
        <v>50</v>
      </c>
    </row>
    <row r="8" spans="1:5" ht="18" customHeight="1" thickBot="1">
      <c r="A8" s="48" t="s">
        <v>8</v>
      </c>
      <c r="B8" s="47" t="s">
        <v>9</v>
      </c>
      <c r="C8" s="64"/>
      <c r="D8" s="9" t="s">
        <v>82</v>
      </c>
      <c r="E8" s="45">
        <v>110</v>
      </c>
    </row>
    <row r="9" spans="1:5" ht="18" customHeight="1" thickBot="1">
      <c r="A9" s="48" t="s">
        <v>101</v>
      </c>
      <c r="B9" s="50" t="s">
        <v>95</v>
      </c>
      <c r="C9" s="64"/>
      <c r="D9" s="9" t="s">
        <v>11</v>
      </c>
      <c r="E9" s="44" t="s">
        <v>93</v>
      </c>
    </row>
    <row r="10" spans="1:5" ht="18" customHeight="1" thickBot="1">
      <c r="A10" s="48" t="s">
        <v>13</v>
      </c>
      <c r="B10" s="50" t="s">
        <v>95</v>
      </c>
      <c r="C10" s="64"/>
      <c r="D10" s="9" t="s">
        <v>11</v>
      </c>
      <c r="E10" s="44" t="s">
        <v>93</v>
      </c>
    </row>
    <row r="11" spans="1:5" ht="18" customHeight="1" thickBot="1">
      <c r="A11" s="48" t="s">
        <v>15</v>
      </c>
      <c r="B11" s="50" t="s">
        <v>95</v>
      </c>
      <c r="C11" s="64"/>
      <c r="D11" s="9" t="s">
        <v>11</v>
      </c>
      <c r="E11" s="44" t="s">
        <v>93</v>
      </c>
    </row>
    <row r="12" spans="1:5" ht="11.25" customHeight="1">
      <c r="A12" s="52"/>
      <c r="D12" s="5"/>
      <c r="E12" s="32"/>
    </row>
    <row r="13" spans="1:5" s="29" customFormat="1" ht="111" customHeight="1">
      <c r="A13" s="54" t="s">
        <v>84</v>
      </c>
      <c r="B13" s="55" t="str">
        <f>'10-Year ASCVD'!H29</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C13" s="37"/>
      <c r="D13" s="40"/>
      <c r="E13" s="38"/>
    </row>
    <row r="14" spans="1:5" s="29" customFormat="1" ht="56.25" customHeight="1">
      <c r="A14" s="56" t="s">
        <v>96</v>
      </c>
      <c r="B14" s="57" t="str">
        <f>'10-Year ASCVD'!H35</f>
        <v>Enter M or F for Gender This calculator only provides 10-year risk estimates for individuals 40 to 79 years of age Enter WH or AA for race</v>
      </c>
      <c r="C14" s="37"/>
      <c r="D14" s="39"/>
      <c r="E14" s="38"/>
    </row>
    <row r="15" spans="1:5" s="36" customFormat="1" ht="12.75">
      <c r="A15" s="58"/>
      <c r="B15" s="59"/>
      <c r="C15" s="35"/>
      <c r="D15" s="33"/>
      <c r="E15" s="34"/>
    </row>
    <row r="16" spans="1:5" s="29" customFormat="1" ht="102.75" customHeight="1">
      <c r="A16" s="54" t="s">
        <v>87</v>
      </c>
      <c r="B16" s="55" t="str">
        <f>'Lifetime Risk Data'!D31</f>
        <v>This calculator only provides lifetime risk estimates for individuals 20 to 59 years of age Enter M or F for Gender Enter 130-320 for TC value Enter 90-200 for SBP value Enter Y or N for treatment for Hypertension Enter Y or N for Diabetes Enter Y or N for Smoker</v>
      </c>
      <c r="C16" s="30"/>
      <c r="E16" s="34"/>
    </row>
    <row r="17" spans="1:2" ht="38.25">
      <c r="A17" s="56" t="s">
        <v>97</v>
      </c>
      <c r="B17" s="57" t="str">
        <f>IF(C3="M",5,IF(C3="F",8,"Enter M or F for gender"))</f>
        <v>Enter M or F for gender</v>
      </c>
    </row>
    <row r="18" ht="12.75">
      <c r="A18" s="52"/>
    </row>
    <row r="19" spans="1:2" ht="409.5" customHeight="1">
      <c r="A19" s="60" t="s">
        <v>102</v>
      </c>
      <c r="B19" s="60" t="s">
        <v>103</v>
      </c>
    </row>
    <row r="20" ht="15">
      <c r="A20" s="61"/>
    </row>
    <row r="21" ht="80.25" customHeight="1">
      <c r="A21" s="62" t="s">
        <v>104</v>
      </c>
    </row>
    <row r="23" ht="12.75">
      <c r="D23" s="5"/>
    </row>
    <row r="24" ht="12.75">
      <c r="D24" s="5"/>
    </row>
    <row r="25" spans="1:4" ht="12.75">
      <c r="A25" s="52"/>
      <c r="D25" s="5"/>
    </row>
    <row r="28" ht="12.75">
      <c r="A28" s="52"/>
    </row>
    <row r="29" spans="1:4" ht="12.75">
      <c r="A29" s="52"/>
      <c r="D29" s="5"/>
    </row>
  </sheetData>
  <sheetProtection password="AAF6" sheet="1" objects="1" scenarios="1" selectLockedCell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40"/>
  <sheetViews>
    <sheetView zoomScale="140" zoomScaleNormal="140" zoomScalePageLayoutView="0" workbookViewId="0" topLeftCell="A1">
      <selection activeCell="F15" sqref="F15"/>
    </sheetView>
  </sheetViews>
  <sheetFormatPr defaultColWidth="9.140625" defaultRowHeight="12.75"/>
  <cols>
    <col min="1" max="1" width="17.57421875" style="0" customWidth="1"/>
    <col min="2" max="2" width="15.421875" style="0" customWidth="1"/>
    <col min="3" max="3" width="15.57421875" style="0" customWidth="1"/>
    <col min="4" max="4" width="13.8515625" style="0" customWidth="1"/>
    <col min="5" max="5" width="31.28125" style="0" customWidth="1"/>
    <col min="6" max="6" width="27.57421875" style="0" customWidth="1"/>
    <col min="7" max="7" width="21.28125" style="0" customWidth="1"/>
    <col min="9" max="9" width="13.57421875" style="0" customWidth="1"/>
    <col min="10" max="10" width="12.140625" style="0" customWidth="1"/>
    <col min="11" max="11" width="11.57421875" style="0" customWidth="1"/>
  </cols>
  <sheetData>
    <row r="1" spans="1:6" ht="24" customHeight="1" thickBot="1">
      <c r="A1" s="11" t="s">
        <v>26</v>
      </c>
      <c r="B1" s="23" t="s">
        <v>78</v>
      </c>
      <c r="C1" s="24"/>
      <c r="D1" s="24"/>
      <c r="E1" s="24"/>
      <c r="F1" s="24"/>
    </row>
    <row r="2" spans="1:6" ht="13.5" thickBot="1">
      <c r="A2" s="1" t="s">
        <v>23</v>
      </c>
      <c r="B2" s="1" t="s">
        <v>25</v>
      </c>
      <c r="C2" s="1" t="s">
        <v>28</v>
      </c>
      <c r="D2" s="12">
        <f ca="1">INDIRECT("'"&amp;B2&amp;"'!"&amp;C2)</f>
        <v>0</v>
      </c>
      <c r="E2" s="43" t="str">
        <f>IF(OR(D2="f",D2="m"),0,"Enter M or F for Gender")</f>
        <v>Enter M or F for Gender</v>
      </c>
      <c r="F2" s="43" t="str">
        <f>IF(E2&lt;&gt;0,E2," ")</f>
        <v>Enter M or F for Gender</v>
      </c>
    </row>
    <row r="3" spans="1:6" ht="18" customHeight="1" thickBot="1">
      <c r="A3" s="1" t="s">
        <v>3</v>
      </c>
      <c r="B3" s="1" t="s">
        <v>25</v>
      </c>
      <c r="C3" s="1" t="s">
        <v>16</v>
      </c>
      <c r="D3" s="12">
        <f ca="1" t="shared" si="0" ref="D3:D9">INDIRECT("'"&amp;B3&amp;"'!"&amp;C3)</f>
        <v>0</v>
      </c>
      <c r="E3" s="43" t="str">
        <f>IF(AND(D3&gt;=20,D3&lt;=59),0,"This calculator only provides lifetime risk estimates for individuals 20 to 59 years of age")</f>
        <v>This calculator only provides lifetime risk estimates for individuals 20 to 59 years of age</v>
      </c>
      <c r="F3" s="43" t="str">
        <f>IF(E3&lt;&gt;0,E3," ")</f>
        <v>This calculator only provides lifetime risk estimates for individuals 20 to 59 years of age</v>
      </c>
    </row>
    <row r="4" spans="1:6" ht="12.75" customHeight="1" thickBot="1">
      <c r="A4" s="1" t="s">
        <v>5</v>
      </c>
      <c r="B4" s="1" t="s">
        <v>25</v>
      </c>
      <c r="C4" s="1" t="s">
        <v>18</v>
      </c>
      <c r="D4" s="12">
        <f ca="1" t="shared" si="0"/>
        <v>0</v>
      </c>
      <c r="E4" s="43" t="str">
        <f>IF(AND(D4&gt;=130,D4&lt;=320),0,"Enter 130-320 for TC value")</f>
        <v>Enter 130-320 for TC value</v>
      </c>
      <c r="F4" s="43" t="str">
        <f>IF(E4&lt;&gt;0,E4," ")</f>
        <v>Enter 130-320 for TC value</v>
      </c>
    </row>
    <row r="5" spans="1:6" ht="15.75" customHeight="1" thickBot="1">
      <c r="A5" s="1" t="s">
        <v>7</v>
      </c>
      <c r="B5" s="1" t="s">
        <v>27</v>
      </c>
      <c r="C5" s="1" t="s">
        <v>19</v>
      </c>
      <c r="D5" s="12">
        <f ca="1" t="shared" si="0"/>
        <v>0</v>
      </c>
      <c r="E5" s="43"/>
      <c r="F5" s="43"/>
    </row>
    <row r="6" spans="1:7" ht="17.25" customHeight="1" thickBot="1">
      <c r="A6" s="1" t="s">
        <v>8</v>
      </c>
      <c r="B6" s="1" t="s">
        <v>25</v>
      </c>
      <c r="C6" s="1" t="s">
        <v>20</v>
      </c>
      <c r="D6" s="12">
        <f ca="1" t="shared" si="0"/>
        <v>0</v>
      </c>
      <c r="E6" s="43" t="str">
        <f>IF(AND(D6&gt;=90,D6&lt;=200),0,"Enter 90-200 for SBP value")</f>
        <v>Enter 90-200 for SBP value</v>
      </c>
      <c r="F6" s="43" t="str">
        <f>IF(E6&lt;&gt;0,E6," ")</f>
        <v>Enter 90-200 for SBP value</v>
      </c>
      <c r="G6" s="43" t="str">
        <f>IF(F6&lt;&gt;0,F6," ")</f>
        <v>Enter 90-200 for SBP value</v>
      </c>
    </row>
    <row r="7" spans="1:6" ht="16.5" customHeight="1" thickBot="1">
      <c r="A7" s="1" t="s">
        <v>10</v>
      </c>
      <c r="B7" s="1" t="s">
        <v>25</v>
      </c>
      <c r="C7" s="1" t="s">
        <v>21</v>
      </c>
      <c r="D7" s="12">
        <f ca="1" t="shared" si="0"/>
        <v>0</v>
      </c>
      <c r="E7" s="43" t="str">
        <f>IF(OR(D7="y",D7="n"),0,"Enter Y or N for treatment for Hypertension")</f>
        <v>Enter Y or N for treatment for Hypertension</v>
      </c>
      <c r="F7" s="43" t="str">
        <f>IF(E7&lt;&gt;0,E7," ")</f>
        <v>Enter Y or N for treatment for Hypertension</v>
      </c>
    </row>
    <row r="8" spans="1:6" ht="13.5" thickBot="1">
      <c r="A8" s="1" t="s">
        <v>13</v>
      </c>
      <c r="B8" s="1" t="s">
        <v>25</v>
      </c>
      <c r="C8" s="1" t="s">
        <v>22</v>
      </c>
      <c r="D8" s="12">
        <f ca="1" t="shared" si="0"/>
        <v>0</v>
      </c>
      <c r="E8" s="43" t="str">
        <f>IF(OR(D8="y",D8="n"),0,"Enter Y or N for Diabetes")</f>
        <v>Enter Y or N for Diabetes</v>
      </c>
      <c r="F8" s="43" t="str">
        <f>IF(E8&lt;&gt;0,E8," ")</f>
        <v>Enter Y or N for Diabetes</v>
      </c>
    </row>
    <row r="9" spans="1:6" ht="13.5" thickBot="1">
      <c r="A9" s="1" t="s">
        <v>15</v>
      </c>
      <c r="B9" s="1" t="s">
        <v>25</v>
      </c>
      <c r="C9" s="1" t="s">
        <v>52</v>
      </c>
      <c r="D9" s="12">
        <f ca="1" t="shared" si="0"/>
        <v>0</v>
      </c>
      <c r="E9" s="43" t="str">
        <f>IF(OR(D9="y",D9="n"),0,"Enter Y or N for Smoker")</f>
        <v>Enter Y or N for Smoker</v>
      </c>
      <c r="F9" s="43" t="str">
        <f>IF(E9&lt;&gt;0,E9," ")</f>
        <v>Enter Y or N for Smoker</v>
      </c>
    </row>
    <row r="10" spans="1:7" ht="12.75">
      <c r="A10" s="22"/>
      <c r="B10" s="22"/>
      <c r="C10" s="22"/>
      <c r="D10" s="26"/>
      <c r="E10" s="43"/>
      <c r="F10" s="43" t="str">
        <f>F3&amp;" "&amp;F2&amp;" "&amp;F4&amp;" "&amp;F5&amp;" "&amp;F6&amp;" "&amp;F7&amp;" "&amp;F8&amp;" "&amp;F9</f>
        <v>This calculator only provides lifetime risk estimates for individuals 20 to 59 years of age Enter M or F for Gender Enter 130-320 for TC value  Enter 90-200 for SBP value Enter Y or N for treatment for Hypertension Enter Y or N for Diabetes Enter Y or N for Smoker</v>
      </c>
      <c r="G10" s="43"/>
    </row>
    <row r="11" spans="2:6" ht="12.75">
      <c r="B11" t="s">
        <v>34</v>
      </c>
      <c r="C11" t="s">
        <v>35</v>
      </c>
      <c r="D11" t="s">
        <v>36</v>
      </c>
      <c r="E11" t="s">
        <v>37</v>
      </c>
      <c r="F11" s="43" t="str">
        <f>TRIM(F10)</f>
        <v>This calculator only provides lifetime risk estimates for individuals 20 to 59 years of age Enter M or F for Gender Enter 130-320 for TC value Enter 90-200 for SBP value Enter Y or N for treatment for Hypertension Enter Y or N for Diabetes Enter Y or N for Smoker</v>
      </c>
    </row>
    <row r="12" spans="1:8" ht="12.75">
      <c r="A12" t="s">
        <v>33</v>
      </c>
      <c r="B12" s="5" t="str">
        <f>IF($D$4&lt;180,"1","0")</f>
        <v>1</v>
      </c>
      <c r="C12" s="5">
        <f>IF($D$4&gt;=180,"1","0")*IF($D$4&lt;200,"1","0")</f>
        <v>0</v>
      </c>
      <c r="D12" s="5">
        <f>IF($D$4&gt;=200,"1","0")*IF($D$4&lt;240,"1","0")</f>
        <v>0</v>
      </c>
      <c r="E12" s="5" t="str">
        <f>IF($D$4&gt;=240,"1","0")</f>
        <v>0</v>
      </c>
      <c r="F12" s="24" t="s">
        <v>91</v>
      </c>
      <c r="G12" s="19"/>
      <c r="H12" s="17"/>
    </row>
    <row r="13" spans="1:8" ht="12.75">
      <c r="A13" t="s">
        <v>38</v>
      </c>
      <c r="B13" s="5"/>
      <c r="C13" s="5"/>
      <c r="D13" s="5"/>
      <c r="E13" s="5" t="str">
        <f>IF($D$6&gt;=160,"1","0")</f>
        <v>0</v>
      </c>
      <c r="G13" s="20"/>
      <c r="H13" s="7"/>
    </row>
    <row r="14" spans="2:8" ht="12.75">
      <c r="B14" s="5"/>
      <c r="C14" s="5"/>
      <c r="D14" s="5" t="s">
        <v>40</v>
      </c>
      <c r="E14" s="5" t="str">
        <f>IF($D$7="Y","1","0")</f>
        <v>0</v>
      </c>
      <c r="G14" s="21"/>
      <c r="H14" s="7"/>
    </row>
    <row r="15" spans="1:8" ht="12.75">
      <c r="A15" t="s">
        <v>38</v>
      </c>
      <c r="B15" s="14">
        <f>IF($D$6&lt;120,"1","0")*IF($D$7="N","1","0")</f>
        <v>0</v>
      </c>
      <c r="C15" s="14">
        <f>IF($D$6&gt;=120,"1","0")*IF($D$6&lt;140,"1","0")*IF($D$7="N","1","0")</f>
        <v>0</v>
      </c>
      <c r="D15" s="14">
        <f>IF($D$6&gt;=140,"1","0")*IF($D$6&lt;160,"1","0")*IF($D$7="N","1","0")</f>
        <v>0</v>
      </c>
      <c r="E15" s="14">
        <f>E13+E14</f>
        <v>0</v>
      </c>
      <c r="G15" s="21"/>
      <c r="H15" s="7"/>
    </row>
    <row r="16" spans="1:8" ht="12.75">
      <c r="A16" t="s">
        <v>14</v>
      </c>
      <c r="B16" s="14">
        <f>B12+B15</f>
        <v>1</v>
      </c>
      <c r="C16" s="14">
        <f>C12+C15</f>
        <v>0</v>
      </c>
      <c r="D16" s="14">
        <f>D12+D15</f>
        <v>0</v>
      </c>
      <c r="E16" s="14"/>
      <c r="G16" s="21"/>
      <c r="H16" s="7"/>
    </row>
    <row r="17" spans="2:8" ht="12.75">
      <c r="B17" s="14"/>
      <c r="C17" s="14"/>
      <c r="D17" t="s">
        <v>31</v>
      </c>
      <c r="E17" s="5" t="str">
        <f>IF($D$9="Y","1","0")</f>
        <v>0</v>
      </c>
      <c r="G17" s="21"/>
      <c r="H17" s="7"/>
    </row>
    <row r="18" spans="4:8" ht="12.75">
      <c r="D18" t="s">
        <v>39</v>
      </c>
      <c r="E18" s="5" t="str">
        <f>IF($D$8="Y","1","0")</f>
        <v>0</v>
      </c>
      <c r="G18" s="19"/>
      <c r="H18" s="17"/>
    </row>
    <row r="19" spans="3:8" ht="12.75">
      <c r="C19" s="5"/>
      <c r="D19" s="14" t="s">
        <v>43</v>
      </c>
      <c r="E19">
        <f>E12+E15+E17+E18</f>
        <v>0</v>
      </c>
      <c r="G19" s="17"/>
      <c r="H19" s="17"/>
    </row>
    <row r="21" spans="1:7" ht="12.75">
      <c r="A21" s="18" t="s">
        <v>76</v>
      </c>
      <c r="C21" t="s">
        <v>47</v>
      </c>
      <c r="E21" s="18" t="s">
        <v>77</v>
      </c>
      <c r="G21" t="s">
        <v>47</v>
      </c>
    </row>
    <row r="22" spans="1:7" ht="12.75">
      <c r="A22" s="16" t="s">
        <v>46</v>
      </c>
      <c r="B22" s="6" t="str">
        <f>IF($E$19&gt;=2,"1","0")</f>
        <v>0</v>
      </c>
      <c r="C22" s="5">
        <v>50</v>
      </c>
      <c r="E22" s="16" t="s">
        <v>46</v>
      </c>
      <c r="F22" s="6" t="str">
        <f>IF($E$19&gt;=2,"1","0")</f>
        <v>0</v>
      </c>
      <c r="G22" s="5">
        <v>69</v>
      </c>
    </row>
    <row r="23" spans="1:7" ht="12.75">
      <c r="A23" s="11" t="s">
        <v>41</v>
      </c>
      <c r="B23" s="6" t="str">
        <f>IF($E$19=1,"1","0")</f>
        <v>0</v>
      </c>
      <c r="C23" s="5">
        <v>39</v>
      </c>
      <c r="E23" s="11" t="s">
        <v>41</v>
      </c>
      <c r="F23" s="6" t="str">
        <f>IF($E$19=1,"1","0")</f>
        <v>0</v>
      </c>
      <c r="G23" s="5">
        <v>50</v>
      </c>
    </row>
    <row r="24" spans="1:7" ht="12.75">
      <c r="A24" s="11" t="s">
        <v>42</v>
      </c>
      <c r="B24" s="6">
        <f>IF($D$16&gt;=1,"1","0")*IF($E$19=0,"1","0")</f>
        <v>0</v>
      </c>
      <c r="C24" s="5">
        <v>39</v>
      </c>
      <c r="E24" s="11" t="s">
        <v>42</v>
      </c>
      <c r="F24" s="6">
        <f>IF($D$16&gt;=1,"1","0")*IF($E$19=0,"1","0")</f>
        <v>0</v>
      </c>
      <c r="G24" s="5">
        <v>46</v>
      </c>
    </row>
    <row r="25" spans="1:7" ht="12.75">
      <c r="A25" s="11" t="s">
        <v>44</v>
      </c>
      <c r="B25" s="6">
        <f>IF($C$16&gt;=1,"1","0")*IF($D$16=0,"1","0")*IF($E$19=0,"1","0")</f>
        <v>0</v>
      </c>
      <c r="C25" s="5">
        <v>27</v>
      </c>
      <c r="E25" s="11" t="s">
        <v>44</v>
      </c>
      <c r="F25" s="6">
        <f>IF($C$16&gt;=1,"1","0")*IF($D$16=0,"1","0")*IF($E$19=0,"1","0")</f>
        <v>0</v>
      </c>
      <c r="G25" s="5">
        <v>36</v>
      </c>
    </row>
    <row r="26" spans="1:7" ht="12.75">
      <c r="A26" s="11" t="s">
        <v>45</v>
      </c>
      <c r="B26" s="6">
        <f>IF($B$16=2,"1","0")*IF($E$19=0,"1","0")</f>
        <v>0</v>
      </c>
      <c r="C26" s="5">
        <v>8</v>
      </c>
      <c r="E26" s="11" t="s">
        <v>45</v>
      </c>
      <c r="F26" s="6">
        <f>IF($B$16=2,"1","0")*IF($E$19=0,"1","0")</f>
        <v>0</v>
      </c>
      <c r="G26" s="5">
        <v>5</v>
      </c>
    </row>
    <row r="27" spans="1:7" ht="12.75">
      <c r="A27" s="11"/>
      <c r="B27" s="7"/>
      <c r="C27" s="6">
        <f>SUM(B22*C22+B23*C23+B24*C24+B25*C25+B26*C26)</f>
        <v>0</v>
      </c>
      <c r="D27" s="5"/>
      <c r="E27" s="16"/>
      <c r="F27" s="7"/>
      <c r="G27" s="6">
        <f>SUM(F22*G22+F23*G23+F24*G24+F25*G25+F26*G26)</f>
        <v>0</v>
      </c>
    </row>
    <row r="28" spans="1:7" ht="12.75">
      <c r="A28" s="11"/>
      <c r="G28" s="11"/>
    </row>
    <row r="29" ht="12.75">
      <c r="C29" s="11" t="s">
        <v>49</v>
      </c>
    </row>
    <row r="30" ht="12.75">
      <c r="H30" s="5"/>
    </row>
    <row r="31" spans="1:11" ht="12.75">
      <c r="A31" s="5" t="s">
        <v>32</v>
      </c>
      <c r="B31" s="5" t="str">
        <f>IF($D$2="M","1","0")</f>
        <v>0</v>
      </c>
      <c r="C31" s="5">
        <f>B31*G27+C27*B32</f>
        <v>0</v>
      </c>
      <c r="D31" t="str">
        <f>IF($F$11&lt;&gt;"",F11,C31)</f>
        <v>This calculator only provides lifetime risk estimates for individuals 20 to 59 years of age Enter M or F for Gender Enter 130-320 for TC value Enter 90-200 for SBP value Enter Y or N for treatment for Hypertension Enter Y or N for Diabetes Enter Y or N for Smoker</v>
      </c>
      <c r="E31" s="24"/>
      <c r="F31" s="24"/>
      <c r="G31" s="24"/>
      <c r="H31" s="27"/>
      <c r="I31" s="24"/>
      <c r="J31" s="24"/>
      <c r="K31" s="24"/>
    </row>
    <row r="32" spans="1:8" ht="12.75">
      <c r="A32" s="5" t="s">
        <v>29</v>
      </c>
      <c r="B32" s="5" t="str">
        <f>IF($D$2="F","1","0")</f>
        <v>0</v>
      </c>
      <c r="H32" s="5"/>
    </row>
    <row r="33" spans="2:8" ht="12.75">
      <c r="B33" s="5"/>
      <c r="H33" s="5"/>
    </row>
    <row r="39" spans="1:2" ht="12.75">
      <c r="A39" s="11"/>
      <c r="B39" s="17"/>
    </row>
    <row r="40" spans="1:2" ht="12.75">
      <c r="A40" s="11"/>
      <c r="B40" s="17"/>
    </row>
  </sheetData>
  <sheetProtection password="AAF6" sheet="1" objects="1" scenarios="1" selectLockedCells="1" selectUnlockedCell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38"/>
  <sheetViews>
    <sheetView zoomScalePageLayoutView="0" workbookViewId="0" topLeftCell="B1">
      <selection activeCell="J8" sqref="J8"/>
    </sheetView>
  </sheetViews>
  <sheetFormatPr defaultColWidth="9.140625" defaultRowHeight="12.75"/>
  <cols>
    <col min="1" max="1" width="38.8515625" style="0" customWidth="1"/>
    <col min="2" max="2" width="18.421875" style="0" customWidth="1"/>
    <col min="3" max="3" width="12.28125" style="0" customWidth="1"/>
    <col min="4" max="4" width="22.28125" style="0" customWidth="1"/>
    <col min="5" max="5" width="14.7109375" style="0" customWidth="1"/>
    <col min="6" max="6" width="47.421875" style="0" customWidth="1"/>
    <col min="7" max="7" width="17.57421875" style="0" customWidth="1"/>
    <col min="9" max="9" width="18.28125" style="0" customWidth="1"/>
    <col min="10" max="10" width="23.7109375" style="0" customWidth="1"/>
    <col min="11" max="11" width="13.8515625" style="0" customWidth="1"/>
    <col min="13" max="13" width="16.00390625" style="0" customWidth="1"/>
  </cols>
  <sheetData>
    <row r="1" spans="1:10" ht="12.75">
      <c r="A1" s="23" t="s">
        <v>83</v>
      </c>
      <c r="B1" s="25"/>
      <c r="C1" s="25"/>
      <c r="D1" s="3"/>
      <c r="E1" s="3"/>
      <c r="J1" s="5"/>
    </row>
    <row r="2" spans="1:10" ht="13.5" thickBot="1">
      <c r="A2" s="11" t="s">
        <v>26</v>
      </c>
      <c r="E2" s="3"/>
      <c r="J2" s="5" t="s">
        <v>89</v>
      </c>
    </row>
    <row r="3" spans="1:10" ht="13.5" thickBot="1">
      <c r="A3" s="1" t="s">
        <v>23</v>
      </c>
      <c r="B3" s="1" t="s">
        <v>51</v>
      </c>
      <c r="C3" s="1" t="s">
        <v>28</v>
      </c>
      <c r="D3" s="12">
        <f ca="1" t="shared" si="0" ref="D3:D12">INDIRECT("'"&amp;B3&amp;"'!"&amp;C3)</f>
        <v>0</v>
      </c>
      <c r="E3" s="3"/>
      <c r="F3" s="43" t="str">
        <f>IF(OR(D3="f",D3="m"),0,"Enter M or F for Gender")</f>
        <v>Enter M or F for Gender</v>
      </c>
      <c r="G3" s="43" t="str">
        <f>IF(F3&lt;&gt;0,F3," ")</f>
        <v>Enter M or F for Gender</v>
      </c>
      <c r="J3" s="5"/>
    </row>
    <row r="4" spans="1:10" ht="13.5" thickBot="1">
      <c r="A4" s="1" t="s">
        <v>3</v>
      </c>
      <c r="B4" s="1" t="s">
        <v>25</v>
      </c>
      <c r="C4" s="1" t="s">
        <v>16</v>
      </c>
      <c r="D4" s="12">
        <f ca="1" t="shared" si="0"/>
        <v>0</v>
      </c>
      <c r="E4" s="3"/>
      <c r="F4" s="43" t="str">
        <f>IF(AND(D4&gt;=40,D4&lt;=79),0,"This calculator only provides 10-year risk estimates for individuals 40 to 79 years of age")</f>
        <v>This calculator only provides 10-year risk estimates for individuals 40 to 79 years of age</v>
      </c>
      <c r="G4" s="43" t="str">
        <f>IF(F4&lt;&gt;0,F4," ")</f>
        <v>This calculator only provides 10-year risk estimates for individuals 40 to 79 years of age</v>
      </c>
      <c r="J4" s="5"/>
    </row>
    <row r="5" spans="1:10" ht="13.5" thickBot="1">
      <c r="A5" s="8" t="s">
        <v>50</v>
      </c>
      <c r="B5" s="1" t="s">
        <v>25</v>
      </c>
      <c r="C5" s="1" t="s">
        <v>17</v>
      </c>
      <c r="D5" s="12">
        <f ca="1" t="shared" si="0"/>
        <v>0</v>
      </c>
      <c r="E5" s="3"/>
      <c r="F5" s="43" t="str">
        <f>IF(OR(D5="AA",D5="WH"),0,"Enter WH or AA for race")</f>
        <v>Enter WH or AA for race</v>
      </c>
      <c r="G5" s="43" t="str">
        <f>IF(F5&lt;&gt;0,F5," ")</f>
        <v>Enter WH or AA for race</v>
      </c>
      <c r="J5" s="5"/>
    </row>
    <row r="6" spans="1:10" ht="13.5" thickBot="1">
      <c r="A6" s="1" t="s">
        <v>5</v>
      </c>
      <c r="B6" s="1" t="s">
        <v>25</v>
      </c>
      <c r="C6" s="1" t="s">
        <v>18</v>
      </c>
      <c r="D6" s="12">
        <f ca="1" t="shared" si="0"/>
        <v>0</v>
      </c>
      <c r="E6" s="3"/>
      <c r="F6" s="43" t="str">
        <f>IF(AND(D6&gt;=130,D6&lt;=320),0,"Enter 130-320 for TC value")</f>
        <v>Enter 130-320 for TC value</v>
      </c>
      <c r="G6" s="43" t="str">
        <f aca="true" t="shared" si="1" ref="G6:G12">IF(F6&lt;&gt;0,F6," ")</f>
        <v>Enter 130-320 for TC value</v>
      </c>
      <c r="J6" s="5">
        <v>170</v>
      </c>
    </row>
    <row r="7" spans="1:10" ht="13.5" thickBot="1">
      <c r="A7" s="1" t="s">
        <v>7</v>
      </c>
      <c r="B7" s="1" t="s">
        <v>25</v>
      </c>
      <c r="C7" s="1" t="s">
        <v>19</v>
      </c>
      <c r="D7" s="12">
        <f ca="1" t="shared" si="0"/>
        <v>0</v>
      </c>
      <c r="E7" s="3"/>
      <c r="F7" s="43" t="str">
        <f>IF(AND(D7&gt;=20,D7&lt;=100),0,"Enter 20-100 for HDL value")</f>
        <v>Enter 20-100 for HDL value</v>
      </c>
      <c r="G7" s="43" t="str">
        <f t="shared" si="1"/>
        <v>Enter 20-100 for HDL value</v>
      </c>
      <c r="J7" s="5">
        <v>50</v>
      </c>
    </row>
    <row r="8" spans="1:10" ht="14.25" customHeight="1" thickBot="1">
      <c r="A8" s="1" t="s">
        <v>8</v>
      </c>
      <c r="B8" s="1" t="s">
        <v>25</v>
      </c>
      <c r="C8" s="1" t="s">
        <v>20</v>
      </c>
      <c r="D8" s="12">
        <f ca="1" t="shared" si="0"/>
        <v>0</v>
      </c>
      <c r="E8" s="3"/>
      <c r="F8" s="43" t="str">
        <f>IF(AND(D8&gt;=90,D8&lt;=200),0,"Enter 90-200 for SBP value")</f>
        <v>Enter 90-200 for SBP value</v>
      </c>
      <c r="G8" s="43" t="str">
        <f t="shared" si="1"/>
        <v>Enter 90-200 for SBP value</v>
      </c>
      <c r="J8" s="5">
        <v>110</v>
      </c>
    </row>
    <row r="9" spans="1:10" ht="15.75" customHeight="1" thickBot="1">
      <c r="A9" s="1" t="s">
        <v>67</v>
      </c>
      <c r="B9" s="1" t="s">
        <v>25</v>
      </c>
      <c r="C9" s="1" t="s">
        <v>21</v>
      </c>
      <c r="D9" s="12">
        <f ca="1" t="shared" si="0"/>
        <v>0</v>
      </c>
      <c r="E9" s="13" t="str">
        <f>IF($D$10="Y","1","0")</f>
        <v>0</v>
      </c>
      <c r="F9" s="43" t="str">
        <f>IF(OR(D9="y",D9="n"),0,"Enter Y or N for treatment for hypertension")</f>
        <v>Enter Y or N for treatment for hypertension</v>
      </c>
      <c r="G9" s="43" t="str">
        <f t="shared" si="1"/>
        <v>Enter Y or N for treatment for hypertension</v>
      </c>
      <c r="J9" s="5">
        <v>0</v>
      </c>
    </row>
    <row r="10" spans="1:10" ht="15.75" customHeight="1" thickBot="1">
      <c r="A10" s="1" t="s">
        <v>68</v>
      </c>
      <c r="B10" s="1" t="s">
        <v>25</v>
      </c>
      <c r="C10" s="1" t="s">
        <v>21</v>
      </c>
      <c r="D10" s="12">
        <f ca="1" t="shared" si="0"/>
        <v>0</v>
      </c>
      <c r="E10" s="13" t="str">
        <f>IF($D$10="Y","0","1")</f>
        <v>1</v>
      </c>
      <c r="F10" s="43" t="str">
        <f>IF(OR(D10="y",D10="n"),0,"Enter Y or N for treatment for hypertension")</f>
        <v>Enter Y or N for treatment for hypertension</v>
      </c>
      <c r="G10" s="43" t="str">
        <f t="shared" si="1"/>
        <v>Enter Y or N for treatment for hypertension</v>
      </c>
      <c r="J10" s="5">
        <v>1</v>
      </c>
    </row>
    <row r="11" spans="1:10" ht="13.5" thickBot="1">
      <c r="A11" s="1" t="s">
        <v>39</v>
      </c>
      <c r="B11" s="1" t="s">
        <v>25</v>
      </c>
      <c r="C11" s="1" t="s">
        <v>22</v>
      </c>
      <c r="D11" s="12">
        <f ca="1" t="shared" si="0"/>
        <v>0</v>
      </c>
      <c r="E11" s="13" t="str">
        <f>IF($D$11="Y","1","0")</f>
        <v>0</v>
      </c>
      <c r="F11" s="43" t="str">
        <f>IF(OR(D11="y",D11="n"),0,"Enter Y or N for Diabetes")</f>
        <v>Enter Y or N for Diabetes</v>
      </c>
      <c r="G11" s="43" t="str">
        <f t="shared" si="1"/>
        <v>Enter Y or N for Diabetes</v>
      </c>
      <c r="J11" s="5">
        <v>0</v>
      </c>
    </row>
    <row r="12" spans="1:10" ht="13.5" thickBot="1">
      <c r="A12" s="10" t="s">
        <v>15</v>
      </c>
      <c r="B12" s="1" t="s">
        <v>25</v>
      </c>
      <c r="C12" s="1" t="s">
        <v>52</v>
      </c>
      <c r="D12" s="12">
        <f ca="1" t="shared" si="0"/>
        <v>0</v>
      </c>
      <c r="E12" s="13" t="str">
        <f>IF($D$12="Y","1","0")</f>
        <v>0</v>
      </c>
      <c r="F12" s="43" t="str">
        <f>IF(OR(D12="y",D12="n"),0,"Enter Y or N for Smoker")</f>
        <v>Enter Y or N for Smoker</v>
      </c>
      <c r="G12" s="43" t="str">
        <f t="shared" si="1"/>
        <v>Enter Y or N for Smoker</v>
      </c>
      <c r="I12" t="s">
        <v>92</v>
      </c>
      <c r="J12" s="5">
        <v>0</v>
      </c>
    </row>
    <row r="13" spans="7:10" ht="12.75">
      <c r="G13" s="42" t="str">
        <f>G4&amp;" "&amp;G3&amp;" "&amp;G5&amp;" "&amp;G6&amp;" "&amp;G7&amp;" "&amp;G8&amp;" "&amp;G9&amp;" "&amp;G11&amp;" "&amp;G12</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13" s="42" t="str">
        <f>G3&amp;" "&amp;G4&amp;" "&amp;G5</f>
        <v>Enter M or F for Gender This calculator only provides 10-year risk estimates for individuals 40 to 79 years of age Enter WH or AA for race</v>
      </c>
      <c r="J13" s="24"/>
    </row>
    <row r="14" spans="7:9" ht="12.75">
      <c r="G14" s="43" t="str">
        <f>TRIM(G13)</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14" s="43" t="str">
        <f>TRIM(I13)</f>
        <v>Enter M or F for Gender This calculator only provides 10-year risk estimates for individuals 40 to 79 years of age Enter WH or AA for race</v>
      </c>
    </row>
    <row r="15" spans="1:13" ht="12.75">
      <c r="A15" s="4"/>
      <c r="B15" s="4" t="s">
        <v>12</v>
      </c>
      <c r="C15" s="5"/>
      <c r="D15" s="5"/>
      <c r="G15" t="s">
        <v>90</v>
      </c>
      <c r="K15" s="5"/>
      <c r="L15" s="5"/>
      <c r="M15" s="5"/>
    </row>
    <row r="16" spans="1:13" ht="12.75">
      <c r="A16" t="s">
        <v>55</v>
      </c>
      <c r="B16" s="13" t="e">
        <f>LN(D$4)</f>
        <v>#NUM!</v>
      </c>
      <c r="C16" s="5"/>
      <c r="D16" s="5"/>
      <c r="E16" s="5"/>
      <c r="F16" s="5"/>
      <c r="G16" s="13" t="e">
        <f>LN(D4)</f>
        <v>#NUM!</v>
      </c>
      <c r="H16" s="15"/>
      <c r="I16" s="14"/>
      <c r="K16" s="5"/>
      <c r="L16" s="5"/>
      <c r="M16" s="5"/>
    </row>
    <row r="17" spans="1:13" ht="12.75">
      <c r="A17" t="s">
        <v>56</v>
      </c>
      <c r="B17" s="13" t="e">
        <f>LN(D$6)</f>
        <v>#NUM!</v>
      </c>
      <c r="C17" s="5"/>
      <c r="D17" s="5"/>
      <c r="E17" s="5"/>
      <c r="F17" s="5"/>
      <c r="G17" s="13">
        <f>LN(J6)</f>
        <v>5.135798437050262</v>
      </c>
      <c r="H17" s="14"/>
      <c r="I17" s="14"/>
      <c r="K17" s="5"/>
      <c r="L17" s="5"/>
      <c r="M17" s="5"/>
    </row>
    <row r="18" spans="1:13" ht="12.75">
      <c r="A18" t="s">
        <v>57</v>
      </c>
      <c r="B18" s="13" t="e">
        <f>LN(D$7)</f>
        <v>#NUM!</v>
      </c>
      <c r="C18" s="5"/>
      <c r="D18" s="5"/>
      <c r="E18" s="5"/>
      <c r="F18" s="5"/>
      <c r="G18" s="13">
        <f>LN(J7)</f>
        <v>3.912023005428146</v>
      </c>
      <c r="H18" s="14"/>
      <c r="I18" s="14"/>
      <c r="K18" s="5"/>
      <c r="L18" s="5"/>
      <c r="M18" s="5"/>
    </row>
    <row r="19" spans="1:13" ht="12.75">
      <c r="A19" t="s">
        <v>61</v>
      </c>
      <c r="B19" s="13" t="e">
        <f>LN(D$8)*E$9</f>
        <v>#NUM!</v>
      </c>
      <c r="C19" s="5"/>
      <c r="D19" s="5"/>
      <c r="E19" s="5"/>
      <c r="F19" s="5"/>
      <c r="G19" s="13">
        <v>0</v>
      </c>
      <c r="H19" s="14"/>
      <c r="I19" s="14"/>
      <c r="K19" s="5"/>
      <c r="L19" s="5"/>
      <c r="M19" s="5"/>
    </row>
    <row r="20" spans="1:13" ht="12.75">
      <c r="A20" t="s">
        <v>60</v>
      </c>
      <c r="B20" s="13" t="e">
        <f>LN(D$8)*E$10</f>
        <v>#NUM!</v>
      </c>
      <c r="C20" s="5"/>
      <c r="D20" s="5"/>
      <c r="E20" s="5"/>
      <c r="F20" s="5"/>
      <c r="G20" s="13">
        <f>LN(J8)*J10</f>
        <v>4.700480365792417</v>
      </c>
      <c r="H20" s="14"/>
      <c r="I20" s="14"/>
      <c r="K20" s="5"/>
      <c r="L20" s="5"/>
      <c r="M20" s="5"/>
    </row>
    <row r="21" spans="1:13" ht="12.75">
      <c r="A21" t="s">
        <v>66</v>
      </c>
      <c r="B21" s="13" t="e">
        <f>B$16*B$16</f>
        <v>#NUM!</v>
      </c>
      <c r="C21" s="5"/>
      <c r="D21" s="5"/>
      <c r="E21" s="5"/>
      <c r="F21" s="5"/>
      <c r="G21" s="13" t="e">
        <f>G$16*G$16</f>
        <v>#NUM!</v>
      </c>
      <c r="H21" s="14"/>
      <c r="I21" s="14"/>
      <c r="K21" s="5"/>
      <c r="L21" s="5"/>
      <c r="M21" s="5"/>
    </row>
    <row r="22" spans="1:13" ht="12.75">
      <c r="A22" t="s">
        <v>58</v>
      </c>
      <c r="B22" s="13" t="e">
        <f>B$16*B$17</f>
        <v>#NUM!</v>
      </c>
      <c r="C22" s="5"/>
      <c r="D22" s="5"/>
      <c r="E22" s="5"/>
      <c r="F22" s="5"/>
      <c r="G22" s="13" t="e">
        <f>G$16*G$17</f>
        <v>#NUM!</v>
      </c>
      <c r="H22" s="14"/>
      <c r="I22" s="14"/>
      <c r="K22" s="5"/>
      <c r="L22" s="5"/>
      <c r="M22" s="5"/>
    </row>
    <row r="23" spans="1:13" ht="12.75">
      <c r="A23" t="s">
        <v>59</v>
      </c>
      <c r="B23" s="13" t="e">
        <f>B$16*B$18</f>
        <v>#NUM!</v>
      </c>
      <c r="C23" s="5"/>
      <c r="D23" s="5"/>
      <c r="E23" s="5"/>
      <c r="F23" s="5"/>
      <c r="G23" s="13" t="e">
        <f>G$16*G$18</f>
        <v>#NUM!</v>
      </c>
      <c r="H23" s="14"/>
      <c r="I23" s="14"/>
      <c r="K23" s="5"/>
      <c r="L23" s="5"/>
      <c r="M23" s="5"/>
    </row>
    <row r="24" spans="1:13" ht="12.75">
      <c r="A24" t="s">
        <v>63</v>
      </c>
      <c r="B24" s="13" t="e">
        <f>B$16*B$19</f>
        <v>#NUM!</v>
      </c>
      <c r="C24" s="5"/>
      <c r="D24" s="5"/>
      <c r="E24" s="5"/>
      <c r="F24" s="5"/>
      <c r="G24" s="13" t="e">
        <f>G$16*G$19</f>
        <v>#NUM!</v>
      </c>
      <c r="H24" s="14"/>
      <c r="I24" s="14"/>
      <c r="K24" s="5"/>
      <c r="L24" s="5"/>
      <c r="M24" s="5"/>
    </row>
    <row r="25" spans="1:13" ht="12.75">
      <c r="A25" t="s">
        <v>62</v>
      </c>
      <c r="B25" s="13" t="e">
        <f>B$16*B$20</f>
        <v>#NUM!</v>
      </c>
      <c r="C25" s="5"/>
      <c r="D25" s="5"/>
      <c r="E25" s="5"/>
      <c r="F25" s="5"/>
      <c r="G25" s="13" t="e">
        <f>G$16*G$20</f>
        <v>#NUM!</v>
      </c>
      <c r="H25" s="14"/>
      <c r="I25" s="14"/>
      <c r="K25" s="5"/>
      <c r="L25" s="5"/>
      <c r="M25" s="5"/>
    </row>
    <row r="26" spans="1:13" ht="12.75">
      <c r="A26" t="s">
        <v>64</v>
      </c>
      <c r="B26" s="13" t="e">
        <f>B$16*E$12</f>
        <v>#NUM!</v>
      </c>
      <c r="C26" s="5"/>
      <c r="D26" s="5"/>
      <c r="G26" s="13" t="e">
        <f>G$16*J$12</f>
        <v>#NUM!</v>
      </c>
      <c r="K26" s="5"/>
      <c r="L26" s="5"/>
      <c r="M26" s="5"/>
    </row>
    <row r="27" spans="1:13" ht="12.75">
      <c r="A27" t="s">
        <v>65</v>
      </c>
      <c r="B27" s="13" t="e">
        <f>B$16*E$11</f>
        <v>#NUM!</v>
      </c>
      <c r="G27" s="13" t="e">
        <f>G$16*J$11</f>
        <v>#NUM!</v>
      </c>
      <c r="K27" s="5"/>
      <c r="L27" s="5"/>
      <c r="M27" s="5"/>
    </row>
    <row r="28" spans="2:7" ht="12.75">
      <c r="B28" s="5" t="s">
        <v>71</v>
      </c>
      <c r="C28" s="5" t="s">
        <v>72</v>
      </c>
      <c r="D28" s="5" t="s">
        <v>73</v>
      </c>
      <c r="E28" s="5" t="s">
        <v>74</v>
      </c>
      <c r="F28" s="5" t="s">
        <v>75</v>
      </c>
      <c r="G28" s="5" t="s">
        <v>48</v>
      </c>
    </row>
    <row r="29" spans="1:15" ht="12.75">
      <c r="A29" s="4" t="s">
        <v>69</v>
      </c>
      <c r="B29" s="5">
        <v>0.95334</v>
      </c>
      <c r="C29" s="5">
        <v>86.6081</v>
      </c>
      <c r="D29" s="5" t="e">
        <f>17.1141*B16+0.9396*B17+(-18.9196*B18)+4.4748*B23+29.2907*B19+(-6.4321*B24)+27.8197*B20+(-6.0873*B25)+0.6908*E12+0.8738*E11</f>
        <v>#NUM!</v>
      </c>
      <c r="E29" s="5" t="e">
        <f>1-(B29^(EXP(D29-C29)))</f>
        <v>#NUM!</v>
      </c>
      <c r="F29">
        <f>IF(D$3="F","1","0")*IF($D$5="AA","1","0")</f>
        <v>0</v>
      </c>
      <c r="G29" t="e">
        <f>SUM(E29*F29+E30*F30+E31*F31+E32*F32)</f>
        <v>#NUM!</v>
      </c>
      <c r="H29" t="str">
        <f>IF(G14&lt;&gt;"",G14,G30)</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29" s="24"/>
      <c r="J29" s="24"/>
      <c r="K29" s="24"/>
      <c r="L29" s="27"/>
      <c r="M29" s="24"/>
      <c r="N29" s="24"/>
      <c r="O29" s="24"/>
    </row>
    <row r="30" spans="1:10" ht="12.75">
      <c r="A30" s="4" t="s">
        <v>53</v>
      </c>
      <c r="B30" s="5">
        <v>0.96652</v>
      </c>
      <c r="C30" s="5">
        <v>-29.1817</v>
      </c>
      <c r="D30" s="5" t="e">
        <f>(-29.799*B16)+4.884*B21+13.54*B17+(-3.114*B22)+(-13.578*B18)+3.149*B23+2.019*B19+1.957*B20+7.574*E12+(-1.665*B26)+0.661*E11</f>
        <v>#NUM!</v>
      </c>
      <c r="E30" s="5" t="e">
        <f>1-(B30^(EXP(D30-C30)))</f>
        <v>#NUM!</v>
      </c>
      <c r="F30">
        <f>IF(D$3="F","1","0")*IF($D$5="wh","1","0")</f>
        <v>0</v>
      </c>
      <c r="G30" s="14" t="e">
        <f>G29*100</f>
        <v>#NUM!</v>
      </c>
      <c r="H30" s="14"/>
      <c r="I30" s="14"/>
      <c r="J30" s="14"/>
    </row>
    <row r="31" spans="1:10" ht="12.75">
      <c r="A31" s="4" t="s">
        <v>54</v>
      </c>
      <c r="B31" s="5">
        <v>0.89536</v>
      </c>
      <c r="C31" s="5">
        <v>19.5425</v>
      </c>
      <c r="D31" s="5" t="e">
        <f>2.469*B16+0.302*B17+(-0.307*B18)+1.916*B19+1.809*B20+0.549*E12+0.645*E11</f>
        <v>#NUM!</v>
      </c>
      <c r="E31" s="5" t="e">
        <f>1-(B31^(EXP(D31-C31)))</f>
        <v>#NUM!</v>
      </c>
      <c r="F31">
        <f>IF(D$3="M","1","0")*IF($D$5="AA","1","0")</f>
        <v>0</v>
      </c>
      <c r="G31" s="5"/>
      <c r="H31" s="5"/>
      <c r="I31" s="5"/>
      <c r="J31" s="14"/>
    </row>
    <row r="32" spans="1:10" ht="12.75">
      <c r="A32" s="4" t="s">
        <v>70</v>
      </c>
      <c r="B32" s="5">
        <v>0.91436</v>
      </c>
      <c r="C32" s="5">
        <v>61.1816</v>
      </c>
      <c r="D32" s="5" t="e">
        <f>12.344*B16+11.853*B17+(-2.664*B22)+(-7.99*B18)+1.769*B23+1.797*B19+1.764*B20+7.837*E12+(-1.795*B26)+0.658*E11</f>
        <v>#NUM!</v>
      </c>
      <c r="E32" s="5" t="e">
        <f>1-(B32^(EXP(D32-C32)))</f>
        <v>#NUM!</v>
      </c>
      <c r="F32">
        <f>IF(D$3="M","1","0")*IF($D$5="wh","1","0")</f>
        <v>0</v>
      </c>
      <c r="G32" s="5"/>
      <c r="H32" s="5"/>
      <c r="I32" s="5"/>
      <c r="J32" s="14"/>
    </row>
    <row r="33" spans="2:9" ht="12.75">
      <c r="B33" s="5"/>
      <c r="C33" s="5"/>
      <c r="D33" s="5"/>
      <c r="E33" s="5"/>
      <c r="F33" s="5"/>
      <c r="G33" s="5"/>
      <c r="H33" s="5"/>
      <c r="I33" s="5"/>
    </row>
    <row r="34" spans="1:9" ht="12.75">
      <c r="A34" s="4" t="s">
        <v>88</v>
      </c>
      <c r="B34" s="5"/>
      <c r="C34" s="5"/>
      <c r="D34" s="5"/>
      <c r="E34" s="5"/>
      <c r="F34" s="5"/>
      <c r="G34" s="5"/>
      <c r="H34" s="5"/>
      <c r="I34" s="5"/>
    </row>
    <row r="35" spans="1:8" ht="12.75">
      <c r="A35" s="4" t="s">
        <v>69</v>
      </c>
      <c r="B35" s="5">
        <v>0.95334</v>
      </c>
      <c r="C35" s="5">
        <v>86.6081</v>
      </c>
      <c r="D35" s="5" t="e">
        <f>17.1141*G16+0.9396*G17+(-18.9196*G18)+4.4748*G23+29.2907*G19+(-6.4321*G24)+27.8197*G20+(-6.0873*G25)+0.6908*J12+0.8738*J11</f>
        <v>#NUM!</v>
      </c>
      <c r="E35" s="5" t="e">
        <f>1-(B35^(EXP(D35-C35)))</f>
        <v>#NUM!</v>
      </c>
      <c r="F35">
        <f>IF(D$3="F","1","0")*IF($D$5="AA","1","0")</f>
        <v>0</v>
      </c>
      <c r="G35" t="e">
        <f>SUM(E35*F35+E36*F36+E37*F37+E38*F38)</f>
        <v>#NUM!</v>
      </c>
      <c r="H35" t="str">
        <f>IF(I14&lt;&gt;"",I14,G36)</f>
        <v>Enter M or F for Gender This calculator only provides 10-year risk estimates for individuals 40 to 79 years of age Enter WH or AA for race</v>
      </c>
    </row>
    <row r="36" spans="1:8" ht="12.75">
      <c r="A36" s="4" t="s">
        <v>53</v>
      </c>
      <c r="B36" s="5">
        <v>0.96652</v>
      </c>
      <c r="C36" s="5">
        <v>-29.1817</v>
      </c>
      <c r="D36" s="5" t="e">
        <f>(-29.799*G16)+4.884*G21+13.54*G17+(-3.114*G22)+(-13.578*G18)+3.149*G23+2.019*G19+1.957*G20+7.574*J12+(-1.665*G26)+0.661*J11</f>
        <v>#NUM!</v>
      </c>
      <c r="E36" s="5" t="e">
        <f>1-(B36^(EXP(D36-C36)))</f>
        <v>#NUM!</v>
      </c>
      <c r="F36">
        <f>IF(D$3="F","1","0")*IF($D$5="wh","1","0")</f>
        <v>0</v>
      </c>
      <c r="G36" s="14" t="e">
        <f>G35*100</f>
        <v>#NUM!</v>
      </c>
      <c r="H36" s="14"/>
    </row>
    <row r="37" spans="1:8" ht="12.75">
      <c r="A37" s="4" t="s">
        <v>54</v>
      </c>
      <c r="B37" s="5">
        <v>0.89536</v>
      </c>
      <c r="C37" s="5">
        <v>19.5425</v>
      </c>
      <c r="D37" s="5" t="e">
        <f>2.469*G16+0.302*G17+(-0.307*G18)+1.916*G19+1.809*G20+0.549*J12+0.645*J11</f>
        <v>#NUM!</v>
      </c>
      <c r="E37" s="5" t="e">
        <f>1-(B37^(EXP(D37-C37)))</f>
        <v>#NUM!</v>
      </c>
      <c r="F37">
        <f>IF(D$3="M","1","0")*IF($D$5="AA","1","0")</f>
        <v>0</v>
      </c>
      <c r="G37" s="5"/>
      <c r="H37" s="5"/>
    </row>
    <row r="38" spans="1:8" ht="12.75">
      <c r="A38" s="4" t="s">
        <v>70</v>
      </c>
      <c r="B38" s="5">
        <v>0.91436</v>
      </c>
      <c r="C38" s="5">
        <v>61.1816</v>
      </c>
      <c r="D38" s="5" t="e">
        <f>12.344*G16+11.853*G17+(-2.664*G22)+(-7.99*G18)+1.769*G23+1.797*G19+1.764*G20+7.837*J12+(-1.795*G26)+0.658*J11</f>
        <v>#NUM!</v>
      </c>
      <c r="E38" s="5" t="e">
        <f>1-(B38^(EXP(D38-C38)))</f>
        <v>#NUM!</v>
      </c>
      <c r="F38">
        <f>IF(D$3="M","1","0")*IF($D$5="wh","1","0")</f>
        <v>0</v>
      </c>
      <c r="G38" s="5"/>
      <c r="H38" s="5"/>
    </row>
  </sheetData>
  <sheetProtection password="AAF6"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Northwestern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Lloyd-Jones</dc:creator>
  <cp:keywords/>
  <dc:description/>
  <cp:lastModifiedBy>SRO3</cp:lastModifiedBy>
  <dcterms:created xsi:type="dcterms:W3CDTF">2008-11-13T16:12:59Z</dcterms:created>
  <dcterms:modified xsi:type="dcterms:W3CDTF">2016-05-25T08:59:16Z</dcterms:modified>
  <cp:category/>
  <cp:version/>
  <cp:contentType/>
  <cp:contentStatus/>
</cp:coreProperties>
</file>